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1" sheetId="1" r:id="rId1"/>
  </sheets>
  <externalReferences>
    <externalReference r:id="rId2"/>
  </externalReferenc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6" i="1" l="1"/>
  <c r="M47" i="1"/>
  <c r="M41" i="1"/>
  <c r="M43" i="1"/>
  <c r="M42" i="1"/>
  <c r="M21" i="1"/>
  <c r="M22" i="1"/>
  <c r="I56" i="1"/>
  <c r="I47" i="1"/>
  <c r="I41" i="1"/>
  <c r="H47" i="1"/>
  <c r="G30" i="1"/>
  <c r="G53" i="1" l="1"/>
  <c r="F53" i="1"/>
  <c r="J53" i="1" s="1"/>
  <c r="K53" i="1" s="1"/>
  <c r="L50" i="1"/>
  <c r="L54" i="1" s="1"/>
  <c r="K50" i="1"/>
  <c r="K54" i="1" s="1"/>
  <c r="J50" i="1"/>
  <c r="J54" i="1" s="1"/>
  <c r="H50" i="1"/>
  <c r="H54" i="1" s="1"/>
  <c r="F50" i="1"/>
  <c r="F54" i="1" s="1"/>
  <c r="M49" i="1"/>
  <c r="K49" i="1"/>
  <c r="I49" i="1"/>
  <c r="G49" i="1"/>
  <c r="G50" i="1" s="1"/>
  <c r="G54" i="1" s="1"/>
  <c r="L45" i="1"/>
  <c r="M45" i="1" s="1"/>
  <c r="H45" i="1"/>
  <c r="I45" i="1" s="1"/>
  <c r="G45" i="1"/>
  <c r="J45" i="1"/>
  <c r="K45" i="1" s="1"/>
  <c r="M44" i="1"/>
  <c r="H44" i="1"/>
  <c r="I44" i="1" s="1"/>
  <c r="G44" i="1"/>
  <c r="J44" i="1"/>
  <c r="K44" i="1" s="1"/>
  <c r="H43" i="1"/>
  <c r="I43" i="1" s="1"/>
  <c r="G43" i="1"/>
  <c r="J43" i="1"/>
  <c r="K43" i="1" s="1"/>
  <c r="H42" i="1"/>
  <c r="I42" i="1" s="1"/>
  <c r="G42" i="1"/>
  <c r="G41" i="1" s="1"/>
  <c r="J42" i="1"/>
  <c r="L41" i="1"/>
  <c r="L40" i="1"/>
  <c r="M40" i="1" s="1"/>
  <c r="H40" i="1"/>
  <c r="I40" i="1" s="1"/>
  <c r="G40" i="1"/>
  <c r="J40" i="1"/>
  <c r="K40" i="1" s="1"/>
  <c r="L39" i="1"/>
  <c r="M39" i="1" s="1"/>
  <c r="H39" i="1"/>
  <c r="I39" i="1" s="1"/>
  <c r="G39" i="1"/>
  <c r="J39" i="1"/>
  <c r="K39" i="1" s="1"/>
  <c r="L38" i="1"/>
  <c r="M38" i="1" s="1"/>
  <c r="M37" i="1" s="1"/>
  <c r="H38" i="1"/>
  <c r="I38" i="1" s="1"/>
  <c r="G38" i="1"/>
  <c r="J38" i="1"/>
  <c r="L37" i="1"/>
  <c r="H37" i="1"/>
  <c r="L36" i="1"/>
  <c r="M36" i="1" s="1"/>
  <c r="H36" i="1"/>
  <c r="I36" i="1" s="1"/>
  <c r="G36" i="1"/>
  <c r="J36" i="1"/>
  <c r="K36" i="1" s="1"/>
  <c r="L35" i="1"/>
  <c r="M35" i="1" s="1"/>
  <c r="H35" i="1"/>
  <c r="I35" i="1" s="1"/>
  <c r="G35" i="1"/>
  <c r="G33" i="1" s="1"/>
  <c r="J35" i="1"/>
  <c r="K35" i="1" s="1"/>
  <c r="L34" i="1"/>
  <c r="M34" i="1" s="1"/>
  <c r="H34" i="1"/>
  <c r="I34" i="1" s="1"/>
  <c r="G34" i="1"/>
  <c r="J34" i="1"/>
  <c r="L33" i="1"/>
  <c r="L32" i="1"/>
  <c r="M32" i="1" s="1"/>
  <c r="K32" i="1"/>
  <c r="J32" i="1"/>
  <c r="H32" i="1"/>
  <c r="I32" i="1" s="1"/>
  <c r="G32" i="1"/>
  <c r="G31" i="1"/>
  <c r="J31" i="1"/>
  <c r="K31" i="1" s="1"/>
  <c r="J30" i="1"/>
  <c r="L29" i="1"/>
  <c r="J28" i="1"/>
  <c r="K28" i="1" s="1"/>
  <c r="J27" i="1"/>
  <c r="K27" i="1" s="1"/>
  <c r="F21" i="1"/>
  <c r="F20" i="1" s="1"/>
  <c r="F47" i="1" s="1"/>
  <c r="F58" i="1" s="1"/>
  <c r="F59" i="1" s="1"/>
  <c r="G23" i="1"/>
  <c r="I22" i="1"/>
  <c r="H41" i="1" l="1"/>
  <c r="G37" i="1"/>
  <c r="I37" i="1"/>
  <c r="I33" i="1"/>
  <c r="M33" i="1"/>
  <c r="H33" i="1"/>
  <c r="G29" i="1"/>
  <c r="F56" i="1"/>
  <c r="G47" i="1"/>
  <c r="J29" i="1"/>
  <c r="K30" i="1"/>
  <c r="K29" i="1" s="1"/>
  <c r="K34" i="1"/>
  <c r="K33" i="1" s="1"/>
  <c r="J33" i="1"/>
  <c r="K38" i="1"/>
  <c r="K37" i="1" s="1"/>
  <c r="J37" i="1"/>
  <c r="K42" i="1"/>
  <c r="K41" i="1" s="1"/>
  <c r="J41" i="1"/>
  <c r="M54" i="1"/>
  <c r="J23" i="1"/>
  <c r="J25" i="1"/>
  <c r="K25" i="1" s="1"/>
  <c r="K22" i="1"/>
  <c r="G27" i="1"/>
  <c r="G28" i="1"/>
  <c r="H23" i="1"/>
  <c r="L23" i="1"/>
  <c r="H25" i="1"/>
  <c r="I25" i="1" s="1"/>
  <c r="L25" i="1"/>
  <c r="M25" i="1" s="1"/>
  <c r="H27" i="1"/>
  <c r="I27" i="1" s="1"/>
  <c r="L27" i="1"/>
  <c r="M27" i="1" s="1"/>
  <c r="H28" i="1"/>
  <c r="I28" i="1" s="1"/>
  <c r="L28" i="1"/>
  <c r="M28" i="1" s="1"/>
  <c r="H30" i="1"/>
  <c r="L30" i="1"/>
  <c r="M30" i="1" s="1"/>
  <c r="H31" i="1"/>
  <c r="I31" i="1" s="1"/>
  <c r="L31" i="1"/>
  <c r="M31" i="1" s="1"/>
  <c r="H53" i="1"/>
  <c r="I53" i="1" s="1"/>
  <c r="L53" i="1"/>
  <c r="M53" i="1" s="1"/>
  <c r="G22" i="1"/>
  <c r="G25" i="1"/>
  <c r="I50" i="1"/>
  <c r="I54" i="1" s="1"/>
  <c r="M50" i="1"/>
  <c r="I30" i="1" l="1"/>
  <c r="I29" i="1" s="1"/>
  <c r="H29" i="1"/>
  <c r="I23" i="1"/>
  <c r="I21" i="1" s="1"/>
  <c r="I20" i="1" s="1"/>
  <c r="H20" i="1"/>
  <c r="K23" i="1"/>
  <c r="K21" i="1" s="1"/>
  <c r="K20" i="1" s="1"/>
  <c r="K47" i="1" s="1"/>
  <c r="K56" i="1" s="1"/>
  <c r="J21" i="1"/>
  <c r="J20" i="1" s="1"/>
  <c r="J47" i="1" s="1"/>
  <c r="J56" i="1" s="1"/>
  <c r="F61" i="1"/>
  <c r="F57" i="1"/>
  <c r="G56" i="1"/>
  <c r="G61" i="1" s="1"/>
  <c r="G21" i="1"/>
  <c r="G20" i="1" s="1"/>
  <c r="M29" i="1"/>
  <c r="M23" i="1"/>
  <c r="M20" i="1" s="1"/>
  <c r="L21" i="1"/>
  <c r="L20" i="1" s="1"/>
  <c r="H56" i="1" l="1"/>
  <c r="H57" i="1" s="1"/>
  <c r="H58" i="1"/>
  <c r="H59" i="1" s="1"/>
  <c r="J57" i="1"/>
  <c r="J58" i="1"/>
  <c r="J59" i="1" s="1"/>
  <c r="L56" i="1"/>
  <c r="L57" i="1" s="1"/>
  <c r="L58" i="1"/>
  <c r="L59" i="1" s="1"/>
</calcChain>
</file>

<file path=xl/sharedStrings.xml><?xml version="1.0" encoding="utf-8"?>
<sst xmlns="http://schemas.openxmlformats.org/spreadsheetml/2006/main" count="108" uniqueCount="91">
  <si>
    <t xml:space="preserve">Структура </t>
  </si>
  <si>
    <t>тарифів на теплову енергію на опалювальний період 2026-2027 років</t>
  </si>
  <si>
    <t>по КП " БГВУЖКГ"</t>
  </si>
  <si>
    <t>(без ПДВ)</t>
  </si>
  <si>
    <t>№ з/п</t>
  </si>
  <si>
    <t>Сумарні та середньо-</t>
  </si>
  <si>
    <t>Для потреб</t>
  </si>
  <si>
    <t>Найменування  показників</t>
  </si>
  <si>
    <t>зважені показники</t>
  </si>
  <si>
    <t>населення</t>
  </si>
  <si>
    <t>бюджетних установ</t>
  </si>
  <si>
    <t>інших споживачів</t>
  </si>
  <si>
    <t>тис.грн на</t>
  </si>
  <si>
    <t>рік</t>
  </si>
  <si>
    <t>грн/Гкал</t>
  </si>
  <si>
    <t>1.</t>
  </si>
  <si>
    <t>Виробнича собівартість,у т.ч.:</t>
  </si>
  <si>
    <t>1.1</t>
  </si>
  <si>
    <t>прямі матеріальні витрати, у т.ч.:</t>
  </si>
  <si>
    <t xml:space="preserve">1.1.1 </t>
  </si>
  <si>
    <t>витрати на паливо</t>
  </si>
  <si>
    <t>1.1.2</t>
  </si>
  <si>
    <t>витрати на електроенергію</t>
  </si>
  <si>
    <t>1.1.3</t>
  </si>
  <si>
    <t>вода для технологічних потреб</t>
  </si>
  <si>
    <t>та водовідведення</t>
  </si>
  <si>
    <t>1.1.4</t>
  </si>
  <si>
    <t>матеріали,запасні частини та інші</t>
  </si>
  <si>
    <t>матеріальні ресурси</t>
  </si>
  <si>
    <t>1.2</t>
  </si>
  <si>
    <t>прямі витрати на оплату праці</t>
  </si>
  <si>
    <t>1.3</t>
  </si>
  <si>
    <t>інші прямі витрати, у т.ч.</t>
  </si>
  <si>
    <t>1.3.1</t>
  </si>
  <si>
    <t>відрахування на соціальні заходи</t>
  </si>
  <si>
    <t>1.3.2</t>
  </si>
  <si>
    <t>амортизаційні відрахування</t>
  </si>
  <si>
    <t>1.3.3</t>
  </si>
  <si>
    <t>інші прямі витрати</t>
  </si>
  <si>
    <t>1.4</t>
  </si>
  <si>
    <t>Загальновиробничі витрати, у т.ч.</t>
  </si>
  <si>
    <t>1.4.1</t>
  </si>
  <si>
    <t>витрати на оплату праці</t>
  </si>
  <si>
    <t>1.4.2</t>
  </si>
  <si>
    <t>витрати на соціальні заходи</t>
  </si>
  <si>
    <t>1.4.3</t>
  </si>
  <si>
    <t>інші витрати</t>
  </si>
  <si>
    <t>2</t>
  </si>
  <si>
    <t>Адміністративні витрати, у т.ч.</t>
  </si>
  <si>
    <t>2.1</t>
  </si>
  <si>
    <t>2.2</t>
  </si>
  <si>
    <t>2.3</t>
  </si>
  <si>
    <t>3</t>
  </si>
  <si>
    <t>Витрати на збут, у т.ч.</t>
  </si>
  <si>
    <t>3.1</t>
  </si>
  <si>
    <t>3.2</t>
  </si>
  <si>
    <t>3.3</t>
  </si>
  <si>
    <t>4</t>
  </si>
  <si>
    <t>Інші операційні витрати</t>
  </si>
  <si>
    <t>5</t>
  </si>
  <si>
    <t>Фінансові витрати</t>
  </si>
  <si>
    <t>6</t>
  </si>
  <si>
    <t>Повна собівартість</t>
  </si>
  <si>
    <t>7</t>
  </si>
  <si>
    <t>Витрати на покриття втрат</t>
  </si>
  <si>
    <t>8</t>
  </si>
  <si>
    <t>Розрахунковий прибуток, у т.ч.</t>
  </si>
  <si>
    <t>8.1</t>
  </si>
  <si>
    <t>податок на прибуток</t>
  </si>
  <si>
    <t>8.2</t>
  </si>
  <si>
    <t>резервний фонд(капітал) та дивіденди</t>
  </si>
  <si>
    <t>8.3</t>
  </si>
  <si>
    <t>на розвиток виробництва(виробничі</t>
  </si>
  <si>
    <t>інвестиції)</t>
  </si>
  <si>
    <t>8.4</t>
  </si>
  <si>
    <t>інше використання прибутку</t>
  </si>
  <si>
    <t>9</t>
  </si>
  <si>
    <t>Вартість теплової енергії за відповідними</t>
  </si>
  <si>
    <t>тарифами</t>
  </si>
  <si>
    <t>10</t>
  </si>
  <si>
    <t>Тарифи на теплову енергію, грн/Гкал</t>
  </si>
  <si>
    <t>11</t>
  </si>
  <si>
    <t>Паливна складова у %%</t>
  </si>
  <si>
    <t>12</t>
  </si>
  <si>
    <t>Решта витрат,крім паливної складової %%</t>
  </si>
  <si>
    <t>13</t>
  </si>
  <si>
    <t>Обсяг реалізації теплової енергії, Гкал</t>
  </si>
  <si>
    <t>14</t>
  </si>
  <si>
    <t>Рівень рентабельності,%</t>
  </si>
  <si>
    <t>Начальник КП "БГВУЖКГ"                                                                       Віктор КАМІНСЬКИЙ</t>
  </si>
  <si>
    <t>Головний економіст                                                                                 Галина КОЗАКЕВИЧ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</si>
</sst>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10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1" xfId="0" applyFont="1" applyBorder="1"/>
    <xf numFmtId="2" fontId="1" fillId="0" borderId="11" xfId="0" applyNumberFormat="1" applyFon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0" fontId="0" fillId="0" borderId="11" xfId="0" applyBorder="1"/>
    <xf numFmtId="49" fontId="0" fillId="0" borderId="2" xfId="0" applyNumberFormat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Font="1" applyBorder="1"/>
    <xf numFmtId="0" fontId="0" fillId="0" borderId="2" xfId="0" applyFont="1" applyBorder="1"/>
    <xf numFmtId="0" fontId="0" fillId="0" borderId="10" xfId="0" applyFont="1" applyBorder="1"/>
    <xf numFmtId="0" fontId="1" fillId="0" borderId="2" xfId="0" applyFont="1" applyBorder="1"/>
    <xf numFmtId="0" fontId="1" fillId="0" borderId="10" xfId="0" applyFont="1" applyBorder="1"/>
    <xf numFmtId="2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5;&#1083;&#1072;&#1085;&#1086;&#1074;&#1080;&#1081;%20&#1090;&#1072;&#1088;&#1080;&#1092;%20&#1085;&#1072;%20&#1090;&#1077;&#1087;&#1083;&#1086;%202026-2027%20%20&#1089;&#1077;&#1088;&#1087;&#1077;&#1085;&#1100;%202026%20&#1058;&#1072;&#1085;%20%20&#1085;&#1072;%20&#1086;&#1087;&#1091;&#1073;&#1083;&#1110;&#1082;&#1091;&#1074;&#1072;&#1085;&#1085;&#1103;%20&#1085;&#1072;%20&#1089;&#1072;&#1081;&#1090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  <sheetName val="Лист1"/>
      <sheetName val="2"/>
      <sheetName val="розрах вартості палива"/>
      <sheetName val="розр.екон. ефе по інвест прогр."/>
      <sheetName val="Середня ціна електроенергії"/>
      <sheetName val="розрах витрат електроенергії"/>
      <sheetName val="інформ.про суб.ВВ"/>
      <sheetName val="електроенергія на ремонт"/>
      <sheetName val="розр.абон.плати"/>
      <sheetName val=" вода і стоки"/>
      <sheetName val="Розрах. зп на вир.тран.і пост "/>
      <sheetName val="накладні витрат. "/>
      <sheetName val="транспортування"/>
      <sheetName val="постачання"/>
      <sheetName val="теплова енергія з прибутком"/>
      <sheetName val="Аркуш3"/>
      <sheetName val="Аркуш1"/>
      <sheetName val="про намір  нові тарифи"/>
      <sheetName val="обгрунтування зміни тарифів"/>
      <sheetName val="вода, стоки на вир.транспортув."/>
      <sheetName val="середня ціна палива за опал.пер"/>
      <sheetName val="розр."/>
      <sheetName val="виробництво"/>
      <sheetName val="Аркуш4"/>
      <sheetName val=" різниця в тарифах"/>
      <sheetName val="Розрахунок інших операц витрат"/>
      <sheetName val="пояснювальна запика"/>
      <sheetName val="розрах.амортизації"/>
      <sheetName val="повідомл.про намір"/>
      <sheetName val="структура тарифу на тепл.енергі"/>
      <sheetName val="Роз&quot;яснення по абон.платі"/>
      <sheetName val="перелік поданих докумен"/>
      <sheetName val="Розр.витрат солі на Космосі"/>
      <sheetName val="інформація про суб&quot;єкта господ"/>
      <sheetName val="Аркуш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0">
          <cell r="J7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3">
          <cell r="M33">
            <v>327.38160000000005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0:M70"/>
  <sheetViews>
    <sheetView tabSelected="1" topLeftCell="D30" workbookViewId="0">
      <selection activeCell="M57" sqref="M57"/>
    </sheetView>
  </sheetViews>
  <sheetFormatPr defaultRowHeight="14.3" x14ac:dyDescent="0.25"/>
  <cols>
    <col min="5" max="5" width="38.875" customWidth="1"/>
    <col min="6" max="6" width="10.375" customWidth="1"/>
    <col min="7" max="7" width="11" customWidth="1"/>
    <col min="8" max="8" width="10.875" customWidth="1"/>
    <col min="9" max="9" width="10.75" customWidth="1"/>
    <col min="10" max="10" width="10.375" customWidth="1"/>
    <col min="11" max="13" width="10" customWidth="1"/>
  </cols>
  <sheetData>
    <row r="10" spans="4:13" ht="16.3" x14ac:dyDescent="0.3">
      <c r="F10" s="1"/>
      <c r="G10" s="1"/>
      <c r="H10" s="2" t="s">
        <v>0</v>
      </c>
      <c r="I10" s="1"/>
      <c r="J10" s="1"/>
      <c r="K10" s="1"/>
      <c r="L10" s="1"/>
    </row>
    <row r="11" spans="4:13" x14ac:dyDescent="0.25">
      <c r="F11" s="1" t="s">
        <v>1</v>
      </c>
      <c r="G11" s="1"/>
      <c r="H11" s="1"/>
      <c r="I11" s="1"/>
      <c r="J11" s="1"/>
      <c r="K11" s="1"/>
      <c r="L11" s="1"/>
    </row>
    <row r="12" spans="4:13" x14ac:dyDescent="0.25">
      <c r="F12" s="1"/>
      <c r="G12" s="1"/>
      <c r="H12" s="1" t="s">
        <v>2</v>
      </c>
      <c r="I12" s="1"/>
      <c r="J12" s="1"/>
      <c r="K12" s="1"/>
      <c r="L12" s="1"/>
    </row>
    <row r="13" spans="4:13" x14ac:dyDescent="0.25">
      <c r="H13" t="s">
        <v>3</v>
      </c>
      <c r="I13" s="3"/>
      <c r="K13" s="3"/>
      <c r="M13" s="3"/>
    </row>
    <row r="14" spans="4:13" x14ac:dyDescent="0.25">
      <c r="I14" s="3">
        <v>0.83774000000000004</v>
      </c>
      <c r="K14" s="3">
        <v>0.12953999999999999</v>
      </c>
      <c r="M14" s="3">
        <v>3.2719999999999999E-2</v>
      </c>
    </row>
    <row r="15" spans="4:13" x14ac:dyDescent="0.25">
      <c r="D15" s="4" t="s">
        <v>4</v>
      </c>
      <c r="E15" s="5"/>
      <c r="F15" s="38" t="s">
        <v>5</v>
      </c>
      <c r="G15" s="39"/>
      <c r="H15" s="40" t="s">
        <v>6</v>
      </c>
      <c r="I15" s="39"/>
      <c r="J15" s="40" t="s">
        <v>6</v>
      </c>
      <c r="K15" s="39"/>
      <c r="L15" s="40" t="s">
        <v>6</v>
      </c>
      <c r="M15" s="39"/>
    </row>
    <row r="16" spans="4:13" x14ac:dyDescent="0.25">
      <c r="D16" s="6"/>
      <c r="E16" s="5" t="s">
        <v>7</v>
      </c>
      <c r="F16" s="41" t="s">
        <v>8</v>
      </c>
      <c r="G16" s="42"/>
      <c r="H16" s="43" t="s">
        <v>9</v>
      </c>
      <c r="I16" s="42"/>
      <c r="J16" s="43" t="s">
        <v>10</v>
      </c>
      <c r="K16" s="42"/>
      <c r="L16" s="43" t="s">
        <v>11</v>
      </c>
      <c r="M16" s="42"/>
    </row>
    <row r="17" spans="4:13" x14ac:dyDescent="0.25">
      <c r="D17" s="6"/>
      <c r="E17" s="7"/>
      <c r="F17" s="8" t="s">
        <v>12</v>
      </c>
      <c r="G17" s="9"/>
      <c r="H17" s="9" t="s">
        <v>12</v>
      </c>
      <c r="I17" s="9"/>
      <c r="J17" s="9" t="s">
        <v>12</v>
      </c>
      <c r="K17" s="9"/>
      <c r="L17" s="9" t="s">
        <v>12</v>
      </c>
      <c r="M17" s="9"/>
    </row>
    <row r="18" spans="4:13" x14ac:dyDescent="0.25">
      <c r="D18" s="10"/>
      <c r="E18" s="11"/>
      <c r="F18" s="12" t="s">
        <v>13</v>
      </c>
      <c r="G18" s="13" t="s">
        <v>14</v>
      </c>
      <c r="H18" s="13" t="s">
        <v>13</v>
      </c>
      <c r="I18" s="13" t="s">
        <v>14</v>
      </c>
      <c r="J18" s="13" t="s">
        <v>13</v>
      </c>
      <c r="K18" s="13" t="s">
        <v>14</v>
      </c>
      <c r="L18" s="13" t="s">
        <v>13</v>
      </c>
      <c r="M18" s="13" t="s">
        <v>14</v>
      </c>
    </row>
    <row r="19" spans="4:13" x14ac:dyDescent="0.25">
      <c r="D19" s="14">
        <v>1</v>
      </c>
      <c r="E19" s="14">
        <v>2</v>
      </c>
      <c r="F19" s="14">
        <v>3</v>
      </c>
      <c r="G19" s="14">
        <v>4</v>
      </c>
      <c r="H19" s="14">
        <v>5</v>
      </c>
      <c r="I19" s="14">
        <v>6</v>
      </c>
      <c r="J19" s="14">
        <v>7</v>
      </c>
      <c r="K19" s="14">
        <v>8</v>
      </c>
      <c r="L19" s="14">
        <v>9</v>
      </c>
      <c r="M19" s="14">
        <v>10</v>
      </c>
    </row>
    <row r="20" spans="4:13" x14ac:dyDescent="0.25">
      <c r="D20" s="14" t="s">
        <v>15</v>
      </c>
      <c r="E20" s="15" t="s">
        <v>16</v>
      </c>
      <c r="F20" s="16">
        <f t="shared" ref="F20:M20" si="0">F21+F28+F29+F33</f>
        <v>64908.489999999991</v>
      </c>
      <c r="G20" s="16">
        <f t="shared" si="0"/>
        <v>3382.2464650096395</v>
      </c>
      <c r="H20" s="16">
        <f t="shared" si="0"/>
        <v>52730.950449200005</v>
      </c>
      <c r="I20" s="16">
        <f t="shared" si="0"/>
        <v>3279.9000390744545</v>
      </c>
      <c r="J20" s="16">
        <f t="shared" si="0"/>
        <v>9865.9474021999995</v>
      </c>
      <c r="K20" s="16">
        <f t="shared" si="0"/>
        <v>3968.6031384553503</v>
      </c>
      <c r="L20" s="16">
        <f t="shared" si="0"/>
        <v>2311.5996696000002</v>
      </c>
      <c r="M20" s="16">
        <f t="shared" si="0"/>
        <v>3680.8911936305735</v>
      </c>
    </row>
    <row r="21" spans="4:13" x14ac:dyDescent="0.25">
      <c r="D21" s="17" t="s">
        <v>17</v>
      </c>
      <c r="E21" s="15" t="s">
        <v>18</v>
      </c>
      <c r="F21" s="18">
        <f>F22+F23+F25+F27</f>
        <v>35763.919999999998</v>
      </c>
      <c r="G21" s="19">
        <f>G22+G23+G25+G27</f>
        <v>1863.5777187223175</v>
      </c>
      <c r="H21" s="18">
        <v>28315.37</v>
      </c>
      <c r="I21" s="18">
        <f t="shared" ref="H21:M21" si="1">I22+I23+I25+I27</f>
        <v>1761.2348372830752</v>
      </c>
      <c r="J21" s="18">
        <f t="shared" si="1"/>
        <v>6090.5585089999995</v>
      </c>
      <c r="K21" s="18">
        <f t="shared" si="1"/>
        <v>2449.9430848753018</v>
      </c>
      <c r="L21" s="18">
        <f t="shared" si="1"/>
        <v>1357.989012</v>
      </c>
      <c r="M21" s="18">
        <f>M22+M23+M25+M27+0.01</f>
        <v>2162.4028853503187</v>
      </c>
    </row>
    <row r="22" spans="4:13" x14ac:dyDescent="0.25">
      <c r="D22" s="17" t="s">
        <v>19</v>
      </c>
      <c r="E22" s="20" t="s">
        <v>20</v>
      </c>
      <c r="F22" s="18">
        <v>22303.07</v>
      </c>
      <c r="G22" s="18">
        <f>F22/F60*1000</f>
        <v>1162.1629930696679</v>
      </c>
      <c r="H22" s="18">
        <v>17038.68</v>
      </c>
      <c r="I22" s="18">
        <f>H22/H60*1000</f>
        <v>1059.8171300615786</v>
      </c>
      <c r="J22" s="18">
        <v>4346.84</v>
      </c>
      <c r="K22" s="18">
        <f>J22/J60*1000</f>
        <v>1748.5277554304105</v>
      </c>
      <c r="L22" s="18">
        <v>917.55</v>
      </c>
      <c r="M22" s="18">
        <f>L22/L60*1000-0.01</f>
        <v>1461.0568789808917</v>
      </c>
    </row>
    <row r="23" spans="4:13" x14ac:dyDescent="0.25">
      <c r="D23" s="17" t="s">
        <v>21</v>
      </c>
      <c r="E23" s="20" t="s">
        <v>22</v>
      </c>
      <c r="F23" s="18">
        <v>10915</v>
      </c>
      <c r="G23" s="18">
        <f>F23/F60*1000</f>
        <v>568.75618779636284</v>
      </c>
      <c r="H23" s="18">
        <f>F23*I14</f>
        <v>9143.9321</v>
      </c>
      <c r="I23" s="18">
        <f>H23/H60*1000</f>
        <v>568.75860546121794</v>
      </c>
      <c r="J23" s="18">
        <f>F23*K14</f>
        <v>1413.9290999999998</v>
      </c>
      <c r="K23" s="18">
        <f>J23/J60*1000</f>
        <v>568.75667739340292</v>
      </c>
      <c r="L23" s="18">
        <f>F23*M14</f>
        <v>357.1388</v>
      </c>
      <c r="M23" s="18">
        <f>L23/L60*1000</f>
        <v>568.69235668789804</v>
      </c>
    </row>
    <row r="24" spans="4:13" x14ac:dyDescent="0.25">
      <c r="D24" s="21" t="s">
        <v>23</v>
      </c>
      <c r="E24" s="5" t="s">
        <v>24</v>
      </c>
      <c r="F24" s="22"/>
      <c r="G24" s="23"/>
      <c r="H24" s="23"/>
      <c r="I24" s="23"/>
      <c r="J24" s="23"/>
      <c r="K24" s="23"/>
      <c r="L24" s="23"/>
      <c r="M24" s="23"/>
    </row>
    <row r="25" spans="4:13" x14ac:dyDescent="0.25">
      <c r="D25" s="24"/>
      <c r="E25" s="11" t="s">
        <v>25</v>
      </c>
      <c r="F25" s="22">
        <v>2363.4299999999998</v>
      </c>
      <c r="G25" s="25">
        <f>F25/F60*1000</f>
        <v>123.15304048772862</v>
      </c>
      <c r="H25" s="25">
        <f>F25*I14</f>
        <v>1979.9398481999999</v>
      </c>
      <c r="I25" s="25">
        <f>H25/H60*1000</f>
        <v>123.15356398581824</v>
      </c>
      <c r="J25" s="25">
        <f>F25*K14</f>
        <v>306.15872219999994</v>
      </c>
      <c r="K25" s="25">
        <f>J25/J60*1000</f>
        <v>123.15314650040223</v>
      </c>
      <c r="L25" s="25">
        <f>F25*M14</f>
        <v>77.331429599999993</v>
      </c>
      <c r="M25" s="25">
        <f>L25/L60*1000</f>
        <v>123.13921910828024</v>
      </c>
    </row>
    <row r="26" spans="4:13" x14ac:dyDescent="0.25">
      <c r="D26" s="21" t="s">
        <v>26</v>
      </c>
      <c r="E26" s="5" t="s">
        <v>27</v>
      </c>
      <c r="F26" s="26"/>
      <c r="G26" s="23"/>
      <c r="H26" s="23"/>
      <c r="I26" s="23"/>
      <c r="J26" s="23"/>
      <c r="K26" s="23"/>
      <c r="L26" s="23"/>
      <c r="M26" s="23"/>
    </row>
    <row r="27" spans="4:13" x14ac:dyDescent="0.25">
      <c r="D27" s="24"/>
      <c r="E27" s="11" t="s">
        <v>28</v>
      </c>
      <c r="F27" s="25">
        <v>182.42</v>
      </c>
      <c r="G27" s="25">
        <f>F27/F60*1000</f>
        <v>9.5054973685581761</v>
      </c>
      <c r="H27" s="25">
        <f>F27*I14</f>
        <v>152.8205308</v>
      </c>
      <c r="I27" s="25">
        <f>H27/H60*1000</f>
        <v>9.505537774460409</v>
      </c>
      <c r="J27" s="25">
        <f>F27*K14</f>
        <v>23.630686799999996</v>
      </c>
      <c r="K27" s="25">
        <f>J27/J60*1000</f>
        <v>9.5055055510860811</v>
      </c>
      <c r="L27" s="25">
        <f>F27*M14</f>
        <v>5.9687823999999994</v>
      </c>
      <c r="M27" s="25">
        <f>L27/L60*1000</f>
        <v>9.5044305732484062</v>
      </c>
    </row>
    <row r="28" spans="4:13" x14ac:dyDescent="0.25">
      <c r="D28" s="17" t="s">
        <v>29</v>
      </c>
      <c r="E28" s="15" t="s">
        <v>30</v>
      </c>
      <c r="F28" s="16">
        <v>14842.07</v>
      </c>
      <c r="G28" s="16">
        <f>F28/F60*1000</f>
        <v>773.38700432494397</v>
      </c>
      <c r="H28" s="16">
        <f>F28*I14</f>
        <v>12433.795721800001</v>
      </c>
      <c r="I28" s="16">
        <f>H28/H60*1000</f>
        <v>773.39029183305354</v>
      </c>
      <c r="J28" s="16">
        <f>F28*K14</f>
        <v>1922.6417477999998</v>
      </c>
      <c r="K28" s="16">
        <f>J28/J60*1000</f>
        <v>773.3876700724054</v>
      </c>
      <c r="L28" s="16">
        <f>F28*M14</f>
        <v>485.63253039999995</v>
      </c>
      <c r="M28" s="16">
        <f>L28/L60*1000</f>
        <v>773.30020764331198</v>
      </c>
    </row>
    <row r="29" spans="4:13" x14ac:dyDescent="0.25">
      <c r="D29" s="17" t="s">
        <v>31</v>
      </c>
      <c r="E29" s="15" t="s">
        <v>32</v>
      </c>
      <c r="F29" s="16">
        <v>5473.16</v>
      </c>
      <c r="G29" s="16">
        <f t="shared" ref="G29:M29" si="2">G30+G31+G32</f>
        <v>285.20410140169872</v>
      </c>
      <c r="H29" s="16">
        <f>H30+H31+H32</f>
        <v>4585.0850584</v>
      </c>
      <c r="I29" s="16">
        <f t="shared" si="2"/>
        <v>285.19531370280527</v>
      </c>
      <c r="J29" s="16">
        <f>J30+J31+J32</f>
        <v>708.99314639999989</v>
      </c>
      <c r="K29" s="16">
        <f t="shared" si="2"/>
        <v>285.19434690265484</v>
      </c>
      <c r="L29" s="16">
        <f>F29*M14</f>
        <v>179.08179519999999</v>
      </c>
      <c r="M29" s="16">
        <f t="shared" si="2"/>
        <v>285.1620942675159</v>
      </c>
    </row>
    <row r="30" spans="4:13" x14ac:dyDescent="0.25">
      <c r="D30" s="17" t="s">
        <v>33</v>
      </c>
      <c r="E30" s="20" t="s">
        <v>34</v>
      </c>
      <c r="F30" s="18">
        <v>3265.25</v>
      </c>
      <c r="G30" s="18">
        <f>F30/F60*1000+0.01</f>
        <v>170.15485956958992</v>
      </c>
      <c r="H30" s="18">
        <f>F30*I14</f>
        <v>2735.430535</v>
      </c>
      <c r="I30" s="18">
        <f>H30/H60*1000</f>
        <v>170.14558282017788</v>
      </c>
      <c r="J30" s="18">
        <f>F30*K14</f>
        <v>422.98048499999999</v>
      </c>
      <c r="K30" s="18">
        <f>J30/J60*1000</f>
        <v>170.1450060337892</v>
      </c>
      <c r="L30" s="18">
        <f>F30*M14</f>
        <v>106.83897999999999</v>
      </c>
      <c r="M30" s="18">
        <f>L30/L60*1000</f>
        <v>170.12576433121018</v>
      </c>
    </row>
    <row r="31" spans="4:13" x14ac:dyDescent="0.25">
      <c r="D31" s="17" t="s">
        <v>35</v>
      </c>
      <c r="E31" s="20" t="s">
        <v>36</v>
      </c>
      <c r="F31" s="18">
        <v>2207.91</v>
      </c>
      <c r="G31" s="18">
        <f>F31/F60*1000</f>
        <v>115.04924183210879</v>
      </c>
      <c r="H31" s="18">
        <f>F31*I14</f>
        <v>1849.6545234</v>
      </c>
      <c r="I31" s="18">
        <f>H31/H60*1000</f>
        <v>115.04973088262736</v>
      </c>
      <c r="J31" s="18">
        <f>F31*K14</f>
        <v>286.01266139999996</v>
      </c>
      <c r="K31" s="18">
        <f>J31/J60*1000</f>
        <v>115.04934086886563</v>
      </c>
      <c r="L31" s="18">
        <f>F31*M14</f>
        <v>72.242815199999995</v>
      </c>
      <c r="M31" s="18">
        <f>L31/L60*1000</f>
        <v>115.03632993630572</v>
      </c>
    </row>
    <row r="32" spans="4:13" x14ac:dyDescent="0.25">
      <c r="D32" s="17" t="s">
        <v>37</v>
      </c>
      <c r="E32" s="20" t="s">
        <v>38</v>
      </c>
      <c r="F32" s="18">
        <v>0</v>
      </c>
      <c r="G32" s="18">
        <f>F32/F60*1000</f>
        <v>0</v>
      </c>
      <c r="H32" s="18">
        <f>F32*I14</f>
        <v>0</v>
      </c>
      <c r="I32" s="18">
        <f>H32/H60*1000</f>
        <v>0</v>
      </c>
      <c r="J32" s="18">
        <f>F32*K14</f>
        <v>0</v>
      </c>
      <c r="K32" s="18">
        <f>J32/J60*1000</f>
        <v>0</v>
      </c>
      <c r="L32" s="18">
        <f>F32*M14</f>
        <v>0</v>
      </c>
      <c r="M32" s="18">
        <f>L32/L60*1000</f>
        <v>0</v>
      </c>
    </row>
    <row r="33" spans="4:13" x14ac:dyDescent="0.25">
      <c r="D33" s="27" t="s">
        <v>39</v>
      </c>
      <c r="E33" s="15" t="s">
        <v>40</v>
      </c>
      <c r="F33" s="16">
        <v>8829.34</v>
      </c>
      <c r="G33" s="16">
        <f t="shared" ref="G33:M33" si="3">G34+G35+G36</f>
        <v>460.07764056067953</v>
      </c>
      <c r="H33" s="16">
        <f t="shared" si="3"/>
        <v>7396.6996690000005</v>
      </c>
      <c r="I33" s="16">
        <f t="shared" si="3"/>
        <v>460.07959625552036</v>
      </c>
      <c r="J33" s="16">
        <f t="shared" si="3"/>
        <v>1143.7539989999998</v>
      </c>
      <c r="K33" s="16">
        <f t="shared" si="3"/>
        <v>460.07803660498786</v>
      </c>
      <c r="L33" s="16">
        <f t="shared" si="3"/>
        <v>288.89633200000003</v>
      </c>
      <c r="M33" s="16">
        <f t="shared" si="3"/>
        <v>460.02600636942668</v>
      </c>
    </row>
    <row r="34" spans="4:13" x14ac:dyDescent="0.25">
      <c r="D34" s="17" t="s">
        <v>41</v>
      </c>
      <c r="E34" s="20" t="s">
        <v>42</v>
      </c>
      <c r="F34" s="18">
        <v>6713.13</v>
      </c>
      <c r="G34" s="18">
        <f>F34/F60*1000</f>
        <v>349.80615913709551</v>
      </c>
      <c r="H34" s="18">
        <f>F34*I14</f>
        <v>5623.8575262000004</v>
      </c>
      <c r="I34" s="18">
        <f>H34/H60*1000</f>
        <v>349.80764609068859</v>
      </c>
      <c r="J34" s="18">
        <f>F34*K14</f>
        <v>869.61886019999997</v>
      </c>
      <c r="K34" s="18">
        <f>J34/J60*1000</f>
        <v>349.80646025744164</v>
      </c>
      <c r="L34" s="18">
        <f>F34*M14</f>
        <v>219.6536136</v>
      </c>
      <c r="M34" s="18">
        <f>L34/L60*1000</f>
        <v>349.76690063694264</v>
      </c>
    </row>
    <row r="35" spans="4:13" x14ac:dyDescent="0.25">
      <c r="D35" s="17" t="s">
        <v>43</v>
      </c>
      <c r="E35" s="20" t="s">
        <v>44</v>
      </c>
      <c r="F35" s="18">
        <v>1476.89</v>
      </c>
      <c r="G35" s="18">
        <f>F35/F60*1000</f>
        <v>76.957427961023399</v>
      </c>
      <c r="H35" s="18">
        <f>F35*I14</f>
        <v>1237.2498286000002</v>
      </c>
      <c r="I35" s="18">
        <f>H35/H60*1000</f>
        <v>76.957755091123985</v>
      </c>
      <c r="J35" s="18">
        <f>F35*K14</f>
        <v>191.31633059999999</v>
      </c>
      <c r="K35" s="18">
        <f>J35/J60*1000</f>
        <v>76.957494207562348</v>
      </c>
      <c r="L35" s="18">
        <f>F35*M14</f>
        <v>48.323840799999999</v>
      </c>
      <c r="M35" s="18">
        <f>L35/L60*1000</f>
        <v>76.948791082802543</v>
      </c>
    </row>
    <row r="36" spans="4:13" x14ac:dyDescent="0.25">
      <c r="D36" s="17" t="s">
        <v>45</v>
      </c>
      <c r="E36" s="20" t="s">
        <v>46</v>
      </c>
      <c r="F36" s="18">
        <v>639.33000000000004</v>
      </c>
      <c r="G36" s="18">
        <f>F36/F60*1000</f>
        <v>33.31405346256058</v>
      </c>
      <c r="H36" s="18">
        <f>F36*I14</f>
        <v>535.59231420000003</v>
      </c>
      <c r="I36" s="18">
        <f>H36/H60*1000</f>
        <v>33.314195073707779</v>
      </c>
      <c r="J36" s="18">
        <f>F36*K14</f>
        <v>82.818808199999992</v>
      </c>
      <c r="K36" s="18">
        <f>J36/J60*1000</f>
        <v>33.31408213998391</v>
      </c>
      <c r="L36" s="18">
        <f>F36*M14</f>
        <v>20.918877600000002</v>
      </c>
      <c r="M36" s="18">
        <f>L36/L60*1000</f>
        <v>33.31031464968153</v>
      </c>
    </row>
    <row r="37" spans="4:13" x14ac:dyDescent="0.25">
      <c r="D37" s="17" t="s">
        <v>47</v>
      </c>
      <c r="E37" s="15" t="s">
        <v>48</v>
      </c>
      <c r="F37" s="16">
        <v>3122.46</v>
      </c>
      <c r="G37" s="16">
        <f t="shared" ref="G37:M37" si="4">G38+G39+G40</f>
        <v>162.70439268407063</v>
      </c>
      <c r="H37" s="16">
        <f>F37*I14</f>
        <v>2615.8096404000003</v>
      </c>
      <c r="I37" s="16">
        <f t="shared" si="4"/>
        <v>162.70508430677367</v>
      </c>
      <c r="J37" s="16">
        <f t="shared" si="4"/>
        <v>404.48346839999994</v>
      </c>
      <c r="K37" s="16">
        <f t="shared" si="4"/>
        <v>162.70453274336282</v>
      </c>
      <c r="L37" s="16">
        <f t="shared" si="4"/>
        <v>102.16689119999999</v>
      </c>
      <c r="M37" s="16">
        <f t="shared" si="4"/>
        <v>162.68613248407644</v>
      </c>
    </row>
    <row r="38" spans="4:13" x14ac:dyDescent="0.25">
      <c r="D38" s="17" t="s">
        <v>49</v>
      </c>
      <c r="E38" s="20" t="s">
        <v>42</v>
      </c>
      <c r="F38" s="18">
        <v>2330.64</v>
      </c>
      <c r="G38" s="18">
        <f>F38/F60*1000</f>
        <v>121.44442707519148</v>
      </c>
      <c r="H38" s="18">
        <f>F38*I14</f>
        <v>1952.4703536</v>
      </c>
      <c r="I38" s="18">
        <f>H38/H60*1000</f>
        <v>121.44494331031909</v>
      </c>
      <c r="J38" s="18">
        <f>F38*K14</f>
        <v>301.91110559999998</v>
      </c>
      <c r="K38" s="18">
        <f>J38/J60*1000</f>
        <v>121.4445316170555</v>
      </c>
      <c r="L38" s="18">
        <f>F38*M14</f>
        <v>76.258540799999992</v>
      </c>
      <c r="M38" s="18">
        <f>L38/L60*1000</f>
        <v>121.43079745222929</v>
      </c>
    </row>
    <row r="39" spans="4:13" x14ac:dyDescent="0.25">
      <c r="D39" s="17" t="s">
        <v>50</v>
      </c>
      <c r="E39" s="20" t="s">
        <v>44</v>
      </c>
      <c r="F39" s="18">
        <v>512.74</v>
      </c>
      <c r="G39" s="18">
        <f>F39/F60*1000</f>
        <v>26.717732270335055</v>
      </c>
      <c r="H39" s="18">
        <f>F39*I14</f>
        <v>429.5428076</v>
      </c>
      <c r="I39" s="18">
        <f>H39/H60*1000</f>
        <v>26.717845841885921</v>
      </c>
      <c r="J39" s="18">
        <f>F39*K14</f>
        <v>66.420339599999991</v>
      </c>
      <c r="K39" s="18">
        <f>J39/J60*1000</f>
        <v>26.717755269509247</v>
      </c>
      <c r="L39" s="18">
        <f>F39*M14</f>
        <v>16.7768528</v>
      </c>
      <c r="M39" s="18">
        <f>L39/L60*1000</f>
        <v>26.714733757961785</v>
      </c>
    </row>
    <row r="40" spans="4:13" x14ac:dyDescent="0.25">
      <c r="D40" s="17" t="s">
        <v>51</v>
      </c>
      <c r="E40" s="20" t="s">
        <v>46</v>
      </c>
      <c r="F40" s="18">
        <v>279.08</v>
      </c>
      <c r="G40" s="18">
        <f>F40/F60*1000</f>
        <v>14.542233338544108</v>
      </c>
      <c r="H40" s="18">
        <f>F40*I14</f>
        <v>233.79647919999999</v>
      </c>
      <c r="I40" s="18">
        <f>H40/H60*1000</f>
        <v>14.542295154568638</v>
      </c>
      <c r="J40" s="18">
        <f>F40*K14</f>
        <v>36.152023199999995</v>
      </c>
      <c r="K40" s="18">
        <f>J40/J60*1000</f>
        <v>14.542245856798067</v>
      </c>
      <c r="L40" s="18">
        <f>F40*M14</f>
        <v>9.1314975999999994</v>
      </c>
      <c r="M40" s="18">
        <f>L40/L60*1000</f>
        <v>14.540601273885349</v>
      </c>
    </row>
    <row r="41" spans="4:13" x14ac:dyDescent="0.25">
      <c r="D41" s="17" t="s">
        <v>52</v>
      </c>
      <c r="E41" s="15" t="s">
        <v>53</v>
      </c>
      <c r="F41" s="16">
        <v>3228.96</v>
      </c>
      <c r="G41" s="16">
        <f t="shared" ref="G41:M41" si="5">G42+G43+G44</f>
        <v>168.25439007868272</v>
      </c>
      <c r="H41" s="16">
        <f t="shared" si="5"/>
        <v>2705.0373278000002</v>
      </c>
      <c r="I41" s="16">
        <f>I42+I43+I44-0.01</f>
        <v>168.24510529327614</v>
      </c>
      <c r="J41" s="16">
        <f t="shared" si="5"/>
        <v>418.28077380000002</v>
      </c>
      <c r="K41" s="16">
        <f t="shared" si="5"/>
        <v>168.25453491552696</v>
      </c>
      <c r="L41" s="16">
        <f t="shared" si="5"/>
        <v>105.65</v>
      </c>
      <c r="M41" s="16">
        <f>M42+M43+M44-0.01</f>
        <v>168.24248407643313</v>
      </c>
    </row>
    <row r="42" spans="4:13" x14ac:dyDescent="0.25">
      <c r="D42" s="17" t="s">
        <v>54</v>
      </c>
      <c r="E42" s="20" t="s">
        <v>42</v>
      </c>
      <c r="F42" s="18">
        <v>2254.96</v>
      </c>
      <c r="G42" s="18">
        <f>F42/F60*1000</f>
        <v>117.5009118857798</v>
      </c>
      <c r="H42" s="18">
        <f>F42*I14</f>
        <v>1889.0701904000002</v>
      </c>
      <c r="I42" s="18">
        <f>H42/H60*1000</f>
        <v>117.50141135784041</v>
      </c>
      <c r="J42" s="18">
        <f>F42*K14</f>
        <v>292.1075184</v>
      </c>
      <c r="K42" s="18">
        <f>J42/J60*1000</f>
        <v>117.50101303298472</v>
      </c>
      <c r="L42" s="18">
        <v>73.78</v>
      </c>
      <c r="M42" s="18">
        <f>L42/L60*1000+0.01</f>
        <v>117.49407643312102</v>
      </c>
    </row>
    <row r="43" spans="4:13" x14ac:dyDescent="0.25">
      <c r="D43" s="17" t="s">
        <v>55</v>
      </c>
      <c r="E43" s="20" t="s">
        <v>44</v>
      </c>
      <c r="F43" s="18">
        <v>496.09</v>
      </c>
      <c r="G43" s="18">
        <f>F43/F60*1000</f>
        <v>25.850138085560939</v>
      </c>
      <c r="H43" s="18">
        <f>F43*I14</f>
        <v>415.59443659999999</v>
      </c>
      <c r="I43" s="18">
        <f>H43/H60*1000</f>
        <v>25.850247969148473</v>
      </c>
      <c r="J43" s="18">
        <f>F43*K14</f>
        <v>64.263498599999991</v>
      </c>
      <c r="K43" s="18">
        <f>J43/J60*1000</f>
        <v>25.850160337892195</v>
      </c>
      <c r="L43" s="18">
        <v>16.23</v>
      </c>
      <c r="M43" s="18">
        <f>L43/L60*1000+0.01</f>
        <v>25.853949044585992</v>
      </c>
    </row>
    <row r="44" spans="4:13" x14ac:dyDescent="0.25">
      <c r="D44" s="17" t="s">
        <v>56</v>
      </c>
      <c r="E44" s="20" t="s">
        <v>46</v>
      </c>
      <c r="F44" s="18">
        <v>477.92</v>
      </c>
      <c r="G44" s="18">
        <f>F44/F60*1000</f>
        <v>24.903340107341986</v>
      </c>
      <c r="H44" s="18">
        <f>F44*I14</f>
        <v>400.37270080000002</v>
      </c>
      <c r="I44" s="18">
        <f>H44/H60*1000</f>
        <v>24.903445966287244</v>
      </c>
      <c r="J44" s="18">
        <f>F44*K14</f>
        <v>61.909756799999997</v>
      </c>
      <c r="K44" s="18">
        <f>J44/J60*1000</f>
        <v>24.903361544650039</v>
      </c>
      <c r="L44" s="18">
        <v>15.64</v>
      </c>
      <c r="M44" s="18">
        <f>L44/L60*1000</f>
        <v>24.904458598726116</v>
      </c>
    </row>
    <row r="45" spans="4:13" x14ac:dyDescent="0.25">
      <c r="D45" s="17" t="s">
        <v>57</v>
      </c>
      <c r="E45" s="15" t="s">
        <v>58</v>
      </c>
      <c r="F45" s="16">
        <v>207.05</v>
      </c>
      <c r="G45" s="16">
        <f>F45/F60*1000</f>
        <v>10.788911468917723</v>
      </c>
      <c r="H45" s="16">
        <f>F45*I14</f>
        <v>173.45406700000001</v>
      </c>
      <c r="I45" s="16">
        <f>H45/H60*1000</f>
        <v>10.788957330347703</v>
      </c>
      <c r="J45" s="16">
        <f>F45*K14</f>
        <v>26.821256999999999</v>
      </c>
      <c r="K45" s="16">
        <f>J45/J60*1000</f>
        <v>10.788920756234916</v>
      </c>
      <c r="L45" s="16">
        <f>F45*M14</f>
        <v>6.7746760000000004</v>
      </c>
      <c r="M45" s="16">
        <f>L45/L60*1000</f>
        <v>10.787700636942677</v>
      </c>
    </row>
    <row r="46" spans="4:13" x14ac:dyDescent="0.25">
      <c r="D46" s="17" t="s">
        <v>59</v>
      </c>
      <c r="E46" s="15" t="s">
        <v>60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</row>
    <row r="47" spans="4:13" x14ac:dyDescent="0.25">
      <c r="D47" s="17" t="s">
        <v>61</v>
      </c>
      <c r="E47" s="15" t="s">
        <v>62</v>
      </c>
      <c r="F47" s="16">
        <f>F20+F37+F41+F45</f>
        <v>71466.960000000006</v>
      </c>
      <c r="G47" s="16">
        <f>F47/F60*1000</f>
        <v>3723.9831170861348</v>
      </c>
      <c r="H47" s="16">
        <f>H20+H37+H41+H45-0.07</f>
        <v>58225.181484400004</v>
      </c>
      <c r="I47" s="16">
        <f>I20+I37+I41+I45+I46</f>
        <v>3621.639186004852</v>
      </c>
      <c r="J47" s="16">
        <f>J20+J37+J41+J45+J46</f>
        <v>10715.532901399998</v>
      </c>
      <c r="K47" s="16">
        <f>K20+K37+K41+K45+K46</f>
        <v>4310.3511268704751</v>
      </c>
      <c r="L47" s="16">
        <v>2526.25</v>
      </c>
      <c r="M47" s="16">
        <f>M20+M37+M41+M45+M46+0.09</f>
        <v>4022.6975108280258</v>
      </c>
    </row>
    <row r="48" spans="4:13" x14ac:dyDescent="0.25">
      <c r="D48" s="17" t="s">
        <v>63</v>
      </c>
      <c r="E48" s="15" t="s">
        <v>64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</row>
    <row r="49" spans="4:13" x14ac:dyDescent="0.25">
      <c r="D49" s="17" t="s">
        <v>65</v>
      </c>
      <c r="E49" s="15" t="s">
        <v>66</v>
      </c>
      <c r="F49" s="16">
        <v>2858.68</v>
      </c>
      <c r="G49" s="16">
        <f>F49/F60*1000</f>
        <v>148.95940805585951</v>
      </c>
      <c r="H49" s="16">
        <v>2329.0100000000002</v>
      </c>
      <c r="I49" s="16">
        <f>H49/H60*1000</f>
        <v>144.86595757915035</v>
      </c>
      <c r="J49" s="16">
        <v>428.62</v>
      </c>
      <c r="K49" s="16">
        <f>J49/J60*1000</f>
        <v>172.41351568785197</v>
      </c>
      <c r="L49" s="16">
        <v>101.05</v>
      </c>
      <c r="M49" s="16">
        <f>L49/L60*1000</f>
        <v>160.90764331210192</v>
      </c>
    </row>
    <row r="50" spans="4:13" x14ac:dyDescent="0.25">
      <c r="D50" s="17" t="s">
        <v>67</v>
      </c>
      <c r="E50" s="29" t="s">
        <v>68</v>
      </c>
      <c r="F50" s="18">
        <f t="shared" ref="F50:M50" si="6">F49*0.18</f>
        <v>514.56239999999991</v>
      </c>
      <c r="G50" s="18">
        <f t="shared" si="6"/>
        <v>26.812693450054713</v>
      </c>
      <c r="H50" s="18">
        <f t="shared" si="6"/>
        <v>419.22180000000003</v>
      </c>
      <c r="I50" s="18">
        <f t="shared" si="6"/>
        <v>26.075872364247061</v>
      </c>
      <c r="J50" s="18">
        <f t="shared" si="6"/>
        <v>77.151600000000002</v>
      </c>
      <c r="K50" s="18">
        <f t="shared" si="6"/>
        <v>31.034432823813354</v>
      </c>
      <c r="L50" s="18">
        <f t="shared" si="6"/>
        <v>18.189</v>
      </c>
      <c r="M50" s="18">
        <f t="shared" si="6"/>
        <v>28.963375796178344</v>
      </c>
    </row>
    <row r="51" spans="4:13" x14ac:dyDescent="0.25">
      <c r="D51" s="17" t="s">
        <v>69</v>
      </c>
      <c r="E51" s="29" t="s">
        <v>70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</row>
    <row r="52" spans="4:13" x14ac:dyDescent="0.25">
      <c r="D52" s="21" t="s">
        <v>71</v>
      </c>
      <c r="E52" s="30" t="s">
        <v>72</v>
      </c>
      <c r="F52" s="26"/>
      <c r="G52" s="26"/>
      <c r="H52" s="26"/>
      <c r="I52" s="26"/>
      <c r="J52" s="26"/>
      <c r="K52" s="26"/>
      <c r="L52" s="26"/>
      <c r="M52" s="26"/>
    </row>
    <row r="53" spans="4:13" x14ac:dyDescent="0.25">
      <c r="D53" s="24"/>
      <c r="E53" s="31" t="s">
        <v>73</v>
      </c>
      <c r="F53" s="25">
        <f>[1]транспортування!J70</f>
        <v>0</v>
      </c>
      <c r="G53" s="25">
        <f>F53/F60*1000</f>
        <v>0</v>
      </c>
      <c r="H53" s="25">
        <f>F53*I14</f>
        <v>0</v>
      </c>
      <c r="I53" s="25">
        <f>H53/H60*1000</f>
        <v>0</v>
      </c>
      <c r="J53" s="25">
        <f>F53*K14</f>
        <v>0</v>
      </c>
      <c r="K53" s="25">
        <f>J53/J60*1000</f>
        <v>0</v>
      </c>
      <c r="L53" s="25">
        <f>F53*M14</f>
        <v>0</v>
      </c>
      <c r="M53" s="25">
        <f>L53/L60*1000</f>
        <v>0</v>
      </c>
    </row>
    <row r="54" spans="4:13" x14ac:dyDescent="0.25">
      <c r="D54" s="17" t="s">
        <v>74</v>
      </c>
      <c r="E54" s="29" t="s">
        <v>75</v>
      </c>
      <c r="F54" s="18">
        <f>F49-F50-F53</f>
        <v>2344.1176</v>
      </c>
      <c r="G54" s="18">
        <f>G49-G50</f>
        <v>122.1467146058048</v>
      </c>
      <c r="H54" s="18">
        <f t="shared" ref="H54:M54" si="7">H49-H50</f>
        <v>1909.7882000000002</v>
      </c>
      <c r="I54" s="18">
        <f t="shared" si="7"/>
        <v>118.79008521490329</v>
      </c>
      <c r="J54" s="18">
        <f t="shared" si="7"/>
        <v>351.46839999999997</v>
      </c>
      <c r="K54" s="18">
        <f t="shared" si="7"/>
        <v>141.37908286403862</v>
      </c>
      <c r="L54" s="18">
        <f t="shared" si="7"/>
        <v>82.86099999999999</v>
      </c>
      <c r="M54" s="18">
        <f t="shared" si="7"/>
        <v>131.94426751592357</v>
      </c>
    </row>
    <row r="55" spans="4:13" x14ac:dyDescent="0.25">
      <c r="D55" s="21" t="s">
        <v>76</v>
      </c>
      <c r="E55" s="32" t="s">
        <v>77</v>
      </c>
      <c r="F55" s="26"/>
      <c r="G55" s="26"/>
      <c r="H55" s="26"/>
      <c r="I55" s="26"/>
      <c r="J55" s="26"/>
      <c r="K55" s="26"/>
      <c r="L55" s="26"/>
      <c r="M55" s="26"/>
    </row>
    <row r="56" spans="4:13" x14ac:dyDescent="0.25">
      <c r="D56" s="24"/>
      <c r="E56" s="33" t="s">
        <v>78</v>
      </c>
      <c r="F56" s="34">
        <f>F47+F49</f>
        <v>74325.64</v>
      </c>
      <c r="G56" s="34">
        <f>F56/F60*1000</f>
        <v>3872.9425251419934</v>
      </c>
      <c r="H56" s="34">
        <f>H47+H49-0.01</f>
        <v>60554.181484400004</v>
      </c>
      <c r="I56" s="34">
        <f>I47+I49</f>
        <v>3766.5051435840023</v>
      </c>
      <c r="J56" s="34">
        <f>J47+J49</f>
        <v>11144.152901399999</v>
      </c>
      <c r="K56" s="34">
        <f>K47+K49</f>
        <v>4482.7646425583271</v>
      </c>
      <c r="L56" s="34">
        <f>L47+L49</f>
        <v>2627.3</v>
      </c>
      <c r="M56" s="34">
        <f>M47+M49-0.01</f>
        <v>4183.5951541401273</v>
      </c>
    </row>
    <row r="57" spans="4:13" x14ac:dyDescent="0.25">
      <c r="D57" s="17" t="s">
        <v>79</v>
      </c>
      <c r="E57" s="15" t="s">
        <v>80</v>
      </c>
      <c r="F57" s="16">
        <f>F56/F60*1000</f>
        <v>3872.9425251419934</v>
      </c>
      <c r="G57" s="16"/>
      <c r="H57" s="16">
        <f>H56/H60*1000</f>
        <v>3766.5100133358214</v>
      </c>
      <c r="I57" s="16"/>
      <c r="J57" s="16">
        <f>J56/J60*1000</f>
        <v>4482.7646425583262</v>
      </c>
      <c r="K57" s="16"/>
      <c r="L57" s="16">
        <f>L56/L60*1000</f>
        <v>4183.5987261146502</v>
      </c>
      <c r="M57" s="16"/>
    </row>
    <row r="58" spans="4:13" x14ac:dyDescent="0.25">
      <c r="D58" s="17" t="s">
        <v>81</v>
      </c>
      <c r="E58" s="15" t="s">
        <v>82</v>
      </c>
      <c r="F58" s="16">
        <f>F22*100/F47</f>
        <v>31.207525827319362</v>
      </c>
      <c r="G58" s="16"/>
      <c r="H58" s="16">
        <f>H22*100/H47-0.01</f>
        <v>29.253421024398339</v>
      </c>
      <c r="I58" s="16"/>
      <c r="J58" s="16">
        <f>J22*100/J56</f>
        <v>39.005566761865971</v>
      </c>
      <c r="K58" s="16"/>
      <c r="L58" s="16">
        <f>L22*100/L47</f>
        <v>36.320633349826821</v>
      </c>
      <c r="M58" s="16"/>
    </row>
    <row r="59" spans="4:13" x14ac:dyDescent="0.25">
      <c r="D59" s="17" t="s">
        <v>83</v>
      </c>
      <c r="E59" s="15" t="s">
        <v>84</v>
      </c>
      <c r="F59" s="16">
        <f>100-F58</f>
        <v>68.792474172680642</v>
      </c>
      <c r="G59" s="16"/>
      <c r="H59" s="16">
        <f>100-H58</f>
        <v>70.746578975601665</v>
      </c>
      <c r="I59" s="16"/>
      <c r="J59" s="16">
        <f>100-J58</f>
        <v>60.994433238134029</v>
      </c>
      <c r="K59" s="16"/>
      <c r="L59" s="16">
        <f>100-L58</f>
        <v>63.679366650173179</v>
      </c>
      <c r="M59" s="16"/>
    </row>
    <row r="60" spans="4:13" x14ac:dyDescent="0.25">
      <c r="D60" s="17" t="s">
        <v>85</v>
      </c>
      <c r="E60" s="15" t="s">
        <v>86</v>
      </c>
      <c r="F60" s="28">
        <v>19191</v>
      </c>
      <c r="G60" s="28"/>
      <c r="H60" s="28">
        <v>16077</v>
      </c>
      <c r="I60" s="28"/>
      <c r="J60" s="28">
        <v>2486</v>
      </c>
      <c r="K60" s="28"/>
      <c r="L60" s="28">
        <v>628</v>
      </c>
      <c r="M60" s="28"/>
    </row>
    <row r="61" spans="4:13" x14ac:dyDescent="0.25">
      <c r="D61" s="17" t="s">
        <v>87</v>
      </c>
      <c r="E61" s="15" t="s">
        <v>88</v>
      </c>
      <c r="F61" s="35">
        <f>F56/F47*100-100</f>
        <v>4.0000022387967675</v>
      </c>
      <c r="G61" s="35">
        <f>G56/G47*100-100</f>
        <v>4.0000022387967533</v>
      </c>
      <c r="H61" s="28">
        <v>4</v>
      </c>
      <c r="I61" s="28">
        <v>4</v>
      </c>
      <c r="J61" s="28">
        <v>4</v>
      </c>
      <c r="K61" s="28">
        <v>4</v>
      </c>
      <c r="L61" s="28">
        <v>4</v>
      </c>
      <c r="M61" s="28">
        <v>4</v>
      </c>
    </row>
    <row r="62" spans="4:13" x14ac:dyDescent="0.25">
      <c r="D62" s="36"/>
    </row>
    <row r="63" spans="4:13" x14ac:dyDescent="0.25">
      <c r="D63" s="36"/>
      <c r="F63" s="37"/>
    </row>
    <row r="64" spans="4:13" x14ac:dyDescent="0.25">
      <c r="D64" s="36"/>
    </row>
    <row r="65" spans="4:12" x14ac:dyDescent="0.25">
      <c r="D65" s="36"/>
      <c r="F65" s="1" t="s">
        <v>89</v>
      </c>
      <c r="G65" s="1"/>
      <c r="H65" s="1"/>
      <c r="I65" s="1"/>
      <c r="J65" s="1"/>
      <c r="K65" s="1"/>
      <c r="L65" s="1"/>
    </row>
    <row r="66" spans="4:12" x14ac:dyDescent="0.25">
      <c r="D66" s="36"/>
      <c r="F66" s="1"/>
      <c r="G66" s="1"/>
      <c r="H66" s="1"/>
      <c r="I66" s="1"/>
      <c r="J66" s="1"/>
      <c r="K66" s="1"/>
      <c r="L66" s="1"/>
    </row>
    <row r="67" spans="4:12" x14ac:dyDescent="0.25">
      <c r="D67" s="36"/>
      <c r="F67" s="1"/>
      <c r="G67" s="1"/>
      <c r="H67" s="1"/>
      <c r="I67" s="1"/>
      <c r="J67" s="1"/>
      <c r="K67" s="1"/>
      <c r="L67" s="1"/>
    </row>
    <row r="68" spans="4:12" x14ac:dyDescent="0.25">
      <c r="D68" s="36"/>
      <c r="F68" s="1" t="s">
        <v>90</v>
      </c>
      <c r="G68" s="1"/>
      <c r="H68" s="1"/>
      <c r="I68" s="1"/>
      <c r="J68" s="1"/>
      <c r="K68" s="1"/>
      <c r="L68" s="1"/>
    </row>
    <row r="69" spans="4:12" x14ac:dyDescent="0.25">
      <c r="D69" s="36"/>
    </row>
    <row r="70" spans="4:12" x14ac:dyDescent="0.25">
      <c r="D70" s="36"/>
    </row>
  </sheetData>
  <mergeCells count="8">
    <mergeCell ref="F15:G15"/>
    <mergeCell ref="H15:I15"/>
    <mergeCell ref="J15:K15"/>
    <mergeCell ref="L15:M15"/>
    <mergeCell ref="F16:G16"/>
    <mergeCell ref="H16:I16"/>
    <mergeCell ref="J16:K16"/>
    <mergeCell ref="L16: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2026-11-06T08:17:22Z</dcterms:modified>
</cp:coreProperties>
</file>